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20490" windowHeight="7650"/>
  </bookViews>
  <sheets>
    <sheet name="на 01.01.21р." sheetId="2" r:id="rId1"/>
  </sheets>
  <definedNames>
    <definedName name="_xlnm.Print_Area" localSheetId="0">'на 01.01.21р.'!$A$1:$AD$40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9" i="2"/>
  <c r="AB39"/>
  <c r="W39"/>
  <c r="V39"/>
  <c r="U39"/>
  <c r="T39"/>
  <c r="S39"/>
  <c r="R39"/>
  <c r="Q39"/>
  <c r="O39"/>
  <c r="N39"/>
  <c r="M39"/>
  <c r="L39"/>
  <c r="K39"/>
  <c r="J39"/>
  <c r="G39"/>
  <c r="E39"/>
  <c r="D39"/>
  <c r="F38"/>
  <c r="Z38" s="1"/>
  <c r="F37"/>
  <c r="Z37" s="1"/>
  <c r="C36"/>
  <c r="F36" s="1"/>
  <c r="X35"/>
  <c r="F35"/>
  <c r="Z35" s="1"/>
  <c r="F34"/>
  <c r="Z34" s="1"/>
  <c r="F33"/>
  <c r="Z33" s="1"/>
  <c r="Y32"/>
  <c r="F32"/>
  <c r="H32" s="1"/>
  <c r="F31"/>
  <c r="I31" s="1"/>
  <c r="I39" s="1"/>
  <c r="F30"/>
  <c r="AC29"/>
  <c r="AC40" s="1"/>
  <c r="AB29"/>
  <c r="AB40" s="1"/>
  <c r="Z29"/>
  <c r="X29"/>
  <c r="W29"/>
  <c r="W40" s="1"/>
  <c r="V29"/>
  <c r="V40" s="1"/>
  <c r="U29"/>
  <c r="U40" s="1"/>
  <c r="T29"/>
  <c r="T40" s="1"/>
  <c r="P29"/>
  <c r="O29"/>
  <c r="N29"/>
  <c r="N40" s="1"/>
  <c r="M29"/>
  <c r="L29"/>
  <c r="L40" s="1"/>
  <c r="K29"/>
  <c r="J29"/>
  <c r="J40" s="1"/>
  <c r="I29"/>
  <c r="E29"/>
  <c r="E40" s="1"/>
  <c r="C29"/>
  <c r="Y28"/>
  <c r="F28"/>
  <c r="G28" s="1"/>
  <c r="Y27"/>
  <c r="S27"/>
  <c r="R27"/>
  <c r="F27"/>
  <c r="Y26"/>
  <c r="S26"/>
  <c r="S29" s="1"/>
  <c r="R26"/>
  <c r="R29" s="1"/>
  <c r="R40" s="1"/>
  <c r="F26"/>
  <c r="F25"/>
  <c r="Y25" s="1"/>
  <c r="Y24"/>
  <c r="G24"/>
  <c r="F24"/>
  <c r="Y23"/>
  <c r="F23"/>
  <c r="G22"/>
  <c r="AA22" s="1"/>
  <c r="AD22" s="1"/>
  <c r="F22"/>
  <c r="Y22" s="1"/>
  <c r="D21"/>
  <c r="F21" s="1"/>
  <c r="G21" s="1"/>
  <c r="F20"/>
  <c r="S40" l="1"/>
  <c r="Y31"/>
  <c r="Y39" s="1"/>
  <c r="X37"/>
  <c r="AA37" s="1"/>
  <c r="AD37" s="1"/>
  <c r="AA24"/>
  <c r="AD24" s="1"/>
  <c r="AA33"/>
  <c r="AD33" s="1"/>
  <c r="AA35"/>
  <c r="AD35" s="1"/>
  <c r="Z36"/>
  <c r="C39"/>
  <c r="C40" s="1"/>
  <c r="Y20"/>
  <c r="G20"/>
  <c r="AA20" s="1"/>
  <c r="F9"/>
  <c r="G23"/>
  <c r="AA23" s="1"/>
  <c r="AD23" s="1"/>
  <c r="G26"/>
  <c r="AA26" s="1"/>
  <c r="AD26" s="1"/>
  <c r="D26"/>
  <c r="D29" s="1"/>
  <c r="D40" s="1"/>
  <c r="H20"/>
  <c r="H21"/>
  <c r="Y21"/>
  <c r="G25"/>
  <c r="AA25" s="1"/>
  <c r="AD25" s="1"/>
  <c r="G27"/>
  <c r="AA27" s="1"/>
  <c r="AD27" s="1"/>
  <c r="D27"/>
  <c r="F29"/>
  <c r="I40"/>
  <c r="K40"/>
  <c r="M40"/>
  <c r="O40"/>
  <c r="F39"/>
  <c r="H30"/>
  <c r="AA34"/>
  <c r="AD34" s="1"/>
  <c r="AA36"/>
  <c r="AD36" s="1"/>
  <c r="AA38"/>
  <c r="AD38" s="1"/>
  <c r="Q28"/>
  <c r="Q29" s="1"/>
  <c r="Q40" s="1"/>
  <c r="P31"/>
  <c r="P39" s="1"/>
  <c r="P40" s="1"/>
  <c r="X32"/>
  <c r="X39" s="1"/>
  <c r="X40" s="1"/>
  <c r="AA21" l="1"/>
  <c r="AD21" s="1"/>
  <c r="AA28"/>
  <c r="AD28" s="1"/>
  <c r="AA32"/>
  <c r="AD32" s="1"/>
  <c r="AD20"/>
  <c r="AD29" s="1"/>
  <c r="G29"/>
  <c r="G40" s="1"/>
  <c r="H39"/>
  <c r="Z30"/>
  <c r="F40"/>
  <c r="H29"/>
  <c r="AA31"/>
  <c r="AD31" s="1"/>
  <c r="Y29"/>
  <c r="Y40" s="1"/>
  <c r="Y9"/>
  <c r="V8"/>
  <c r="AA9" l="1"/>
  <c r="AA29"/>
  <c r="H40"/>
  <c r="Z39"/>
  <c r="Z40" s="1"/>
  <c r="AA30"/>
  <c r="AE29"/>
  <c r="AA39" l="1"/>
  <c r="AD30"/>
  <c r="AD39" s="1"/>
  <c r="AD40" s="1"/>
  <c r="AE39" l="1"/>
  <c r="AA40"/>
  <c r="AE40" l="1"/>
</calcChain>
</file>

<file path=xl/sharedStrings.xml><?xml version="1.0" encoding="utf-8"?>
<sst xmlns="http://schemas.openxmlformats.org/spreadsheetml/2006/main" count="62" uniqueCount="62">
  <si>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</si>
  <si>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</si>
  <si>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</si>
  <si>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</si>
  <si>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</si>
  <si>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</si>
  <si>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</si>
  <si>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</si>
  <si>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</si>
  <si>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</si>
  <si>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</si>
  <si>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</si>
  <si>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</si>
  <si>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</si>
  <si>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Щоріч-на грошова виногорода</t>
  </si>
  <si>
    <t>Допомога на оздоровлення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</si>
  <si>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</si>
  <si>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</si>
  <si>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</si>
  <si>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</si>
  <si>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</si>
  <si>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</si>
  <si>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</si>
  <si>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</si>
  <si>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</si>
  <si>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</si>
  <si>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</si>
  <si>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</si>
  <si>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</si>
  <si>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</si>
  <si>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</si>
  <si>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</si>
  <si>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</si>
  <si>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</si>
  <si>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</si>
  <si>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</si>
  <si>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</si>
  <si>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</si>
  <si>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</si>
  <si>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</si>
  <si>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</si>
  <si>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</si>
  <si>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Асистент вчителя</t>
  </si>
  <si>
    <t xml:space="preserve">Всього педзарплата </t>
  </si>
  <si>
    <t>Завідуючий господарством</t>
  </si>
  <si>
    <t>Бібліотекар</t>
  </si>
  <si>
    <t>Старша сестра медична</t>
  </si>
  <si>
    <t>Секретар-друкарка</t>
  </si>
  <si>
    <t>Робітник з комплексного обслуг. приміщень</t>
  </si>
  <si>
    <t>Сторож</t>
  </si>
  <si>
    <t>Двірник</t>
  </si>
  <si>
    <t>Прибиральник службових приміщень</t>
  </si>
  <si>
    <t>Інженер-електронік</t>
  </si>
  <si>
    <t>Всього МОП</t>
  </si>
  <si>
    <t>ВСЬОГО</t>
  </si>
  <si>
    <t>Директор школи</t>
  </si>
  <si>
    <t>Головний бухгалтер</t>
  </si>
  <si>
    <t>ФЗП в місяць  на січень-червень</t>
  </si>
  <si>
    <t>ФЗП в рік    січень-червень</t>
  </si>
  <si>
    <t xml:space="preserve">Мироцька загальноосвітня школа І-ІІ ступеня станом </t>
  </si>
  <si>
    <t>Додаток 7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</si>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</sst>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5" fillId="0" borderId="0"/>
    <xf numFmtId="0" fontId="25" fillId="0" borderId="0"/>
  </cellStyleXfs>
  <cellXfs count="11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0" fontId="9" fillId="0" borderId="0" xfId="0" applyFont="1" applyAlignment="1">
      <alignment horizontal="center"/>
    </xf>
    <xf numFmtId="4" fontId="3" fillId="0" borderId="0" xfId="0" applyNumberFormat="1" applyFont="1" applyFill="1" applyAlignment="1"/>
    <xf numFmtId="0" fontId="10" fillId="0" borderId="0" xfId="0" applyFont="1" applyAlignment="1">
      <alignment horizontal="center"/>
    </xf>
    <xf numFmtId="0" fontId="11" fillId="0" borderId="0" xfId="0" applyFont="1" applyFill="1" applyAlignment="1"/>
    <xf numFmtId="0" fontId="12" fillId="0" borderId="0" xfId="0" applyFont="1" applyFill="1"/>
    <xf numFmtId="0" fontId="13" fillId="0" borderId="0" xfId="0" applyFont="1"/>
    <xf numFmtId="0" fontId="9" fillId="0" borderId="0" xfId="0" applyFont="1" applyAlignment="1"/>
    <xf numFmtId="0" fontId="9" fillId="0" borderId="0" xfId="0" applyFont="1"/>
    <xf numFmtId="0" fontId="3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4" fillId="0" borderId="1" xfId="0" applyFont="1" applyBorder="1"/>
    <xf numFmtId="0" fontId="16" fillId="0" borderId="0" xfId="0" applyFont="1" applyFill="1" applyAlignment="1">
      <alignment horizontal="center"/>
    </xf>
    <xf numFmtId="0" fontId="16" fillId="0" borderId="0" xfId="0" applyFont="1"/>
    <xf numFmtId="0" fontId="19" fillId="0" borderId="0" xfId="0" applyFont="1"/>
    <xf numFmtId="0" fontId="20" fillId="0" borderId="0" xfId="0" applyFont="1"/>
    <xf numFmtId="2" fontId="19" fillId="0" borderId="0" xfId="0" applyNumberFormat="1" applyFont="1" applyFill="1"/>
    <xf numFmtId="0" fontId="19" fillId="0" borderId="0" xfId="0" applyFont="1" applyFill="1"/>
    <xf numFmtId="0" fontId="21" fillId="0" borderId="0" xfId="0" applyFont="1"/>
    <xf numFmtId="0" fontId="22" fillId="0" borderId="0" xfId="0" applyFont="1"/>
    <xf numFmtId="4" fontId="22" fillId="0" borderId="0" xfId="0" applyNumberFormat="1" applyFont="1" applyFill="1"/>
    <xf numFmtId="0" fontId="22" fillId="0" borderId="0" xfId="0" applyFont="1" applyFill="1"/>
    <xf numFmtId="0" fontId="3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2" fontId="24" fillId="0" borderId="2" xfId="1" applyNumberFormat="1" applyFont="1" applyBorder="1" applyAlignment="1">
      <alignment horizontal="center" vertical="center" wrapText="1"/>
    </xf>
    <xf numFmtId="4" fontId="24" fillId="0" borderId="2" xfId="1" applyNumberFormat="1" applyFont="1" applyBorder="1" applyAlignment="1">
      <alignment horizontal="center" vertical="center" wrapText="1"/>
    </xf>
    <xf numFmtId="0" fontId="24" fillId="0" borderId="0" xfId="0" applyFont="1"/>
    <xf numFmtId="0" fontId="8" fillId="0" borderId="2" xfId="0" applyFont="1" applyBorder="1" applyAlignment="1">
      <alignment horizontal="center"/>
    </xf>
    <xf numFmtId="0" fontId="27" fillId="0" borderId="2" xfId="0" applyFont="1" applyBorder="1" applyAlignment="1">
      <alignment horizontal="justify" vertical="top" wrapText="1"/>
    </xf>
    <xf numFmtId="2" fontId="27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8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23" fillId="2" borderId="3" xfId="2" applyFont="1" applyFill="1" applyBorder="1" applyAlignment="1">
      <alignment horizontal="center" vertical="center" wrapText="1"/>
    </xf>
    <xf numFmtId="0" fontId="23" fillId="2" borderId="7" xfId="2" applyFont="1" applyFill="1" applyBorder="1" applyAlignment="1">
      <alignment horizontal="center" vertical="center" wrapText="1"/>
    </xf>
    <xf numFmtId="0" fontId="23" fillId="2" borderId="12" xfId="2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G47"/>
  <sheetViews>
    <sheetView tabSelected="1" view="pageBreakPreview" zoomScale="80" zoomScaleNormal="85" zoomScaleSheetLayoutView="80" workbookViewId="0">
      <selection activeCell="Z4" sqref="Z4:AD4"/>
    </sheetView>
  </sheetViews>
  <sheetFormatPr defaultRowHeight="1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9.140625" hidden="1" customWidth="1"/>
    <col min="6" max="6" width="12" customWidth="1"/>
    <col min="7" max="7" width="12.42578125" customWidth="1"/>
    <col min="8" max="8" width="11" customWidth="1"/>
    <col min="9" max="9" width="11.425781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12.7109375" customWidth="1"/>
    <col min="25" max="25" width="12" customWidth="1"/>
    <col min="26" max="26" width="10.85546875" customWidth="1"/>
    <col min="27" max="27" width="14" customWidth="1"/>
    <col min="28" max="28" width="12" customWidth="1"/>
    <col min="29" max="29" width="13.85546875" customWidth="1"/>
    <col min="30" max="30" width="14" customWidth="1"/>
    <col min="31" max="31" width="12" bestFit="1" customWidth="1"/>
  </cols>
  <sheetData>
    <row r="1" spans="1:33" ht="15.7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>
      <c r="X2" s="5"/>
      <c r="Y2" s="6"/>
      <c r="Z2" s="6"/>
      <c r="AA2" s="6"/>
      <c r="AB2" s="6"/>
      <c r="AD2" s="6"/>
      <c r="AE2" s="4"/>
      <c r="AF2" s="4"/>
      <c r="AG2" s="4"/>
    </row>
    <row r="3" spans="1:33" ht="15.7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101" t="s">
        <v>60</v>
      </c>
      <c r="AA3" s="101"/>
      <c r="AB3" s="101"/>
      <c r="AC3" s="101"/>
      <c r="AD3" s="101"/>
      <c r="AE3" s="4"/>
      <c r="AF3" s="4"/>
      <c r="AG3" s="4"/>
    </row>
    <row r="4" spans="1:33" ht="15.7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X4" s="11"/>
      <c r="Y4" s="4"/>
      <c r="Z4" s="102" t="s">
        <v>61</v>
      </c>
      <c r="AA4" s="102"/>
      <c r="AB4" s="102"/>
      <c r="AC4" s="102"/>
      <c r="AD4" s="102"/>
      <c r="AE4" s="4"/>
      <c r="AF4" s="4"/>
      <c r="AG4" s="4"/>
    </row>
    <row r="5" spans="1:33" ht="15.75" customHeight="1">
      <c r="A5" s="12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X5" s="15"/>
      <c r="Y5" s="16"/>
      <c r="Z5" s="11"/>
      <c r="AA5" s="11"/>
      <c r="AB5" s="11"/>
      <c r="AC5" s="17"/>
      <c r="AD5" s="13"/>
      <c r="AE5" s="4"/>
      <c r="AF5" s="4"/>
      <c r="AG5" s="4"/>
    </row>
    <row r="6" spans="1:33" s="19" customFormat="1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X6" s="20"/>
      <c r="Y6" s="21"/>
      <c r="Z6" s="22"/>
      <c r="AA6" s="22"/>
      <c r="AB6" s="23"/>
      <c r="AD6" s="23"/>
      <c r="AE6" s="24"/>
      <c r="AF6" s="24"/>
      <c r="AG6" s="24"/>
    </row>
    <row r="7" spans="1:33" s="19" customFormat="1" ht="21.75" customHeight="1">
      <c r="A7" s="25" t="s">
        <v>0</v>
      </c>
      <c r="X7" s="26"/>
      <c r="Y7" s="26"/>
      <c r="Z7" s="27"/>
      <c r="AA7" s="2"/>
      <c r="AB7" s="2"/>
      <c r="AD7" s="28"/>
      <c r="AE7" s="24"/>
      <c r="AF7" s="24"/>
      <c r="AG7" s="24"/>
    </row>
    <row r="8" spans="1:33" s="19" customFormat="1" ht="18.75">
      <c r="A8" s="29" t="s">
        <v>1</v>
      </c>
      <c r="D8" s="30"/>
      <c r="E8" s="31" t="s">
        <v>2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0"/>
      <c r="V8" s="32" t="e">
        <f>Y20+Y21+#REF!+Y31+Y22+Y25</f>
        <v>#REF!</v>
      </c>
      <c r="W8" s="33"/>
      <c r="X8" s="33"/>
      <c r="Y8" s="33"/>
      <c r="Z8" s="33"/>
      <c r="AD8" s="24"/>
      <c r="AE8" s="24"/>
      <c r="AF8" s="24"/>
      <c r="AG8" s="24"/>
    </row>
    <row r="9" spans="1:33" s="35" customFormat="1" ht="15.75" customHeight="1">
      <c r="A9" s="34"/>
      <c r="F9" s="36">
        <f>SUM(F20:F27)</f>
        <v>137949.03333333333</v>
      </c>
      <c r="G9" s="103" t="s">
        <v>59</v>
      </c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Y9" s="36">
        <f>SUM(Y20:Y27)</f>
        <v>40320.119999999995</v>
      </c>
      <c r="Z9" s="37"/>
      <c r="AA9" s="36">
        <f>SUM(AA20:AA27)</f>
        <v>241775.13999999998</v>
      </c>
      <c r="AB9" s="37"/>
      <c r="AC9" s="37"/>
      <c r="AD9" s="37"/>
      <c r="AE9" s="37"/>
      <c r="AF9" s="37"/>
      <c r="AG9" s="37"/>
    </row>
    <row r="10" spans="1:33" s="19" customFormat="1" ht="15.75" hidden="1" customHeight="1">
      <c r="A10" s="38"/>
      <c r="H10" s="39"/>
      <c r="I10" s="40"/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33" s="19" customFormat="1" ht="12.75" customHeight="1">
      <c r="A11" s="100" t="s">
        <v>3</v>
      </c>
      <c r="B11" s="80" t="s">
        <v>4</v>
      </c>
      <c r="C11" s="80" t="s">
        <v>5</v>
      </c>
      <c r="D11" s="88" t="s">
        <v>6</v>
      </c>
      <c r="E11" s="88" t="s">
        <v>7</v>
      </c>
      <c r="F11" s="80" t="s">
        <v>8</v>
      </c>
      <c r="G11" s="91" t="s">
        <v>9</v>
      </c>
      <c r="H11" s="92"/>
      <c r="I11" s="93"/>
      <c r="J11" s="91" t="s">
        <v>10</v>
      </c>
      <c r="K11" s="92"/>
      <c r="L11" s="92"/>
      <c r="M11" s="92"/>
      <c r="N11" s="92"/>
      <c r="O11" s="92"/>
      <c r="P11" s="91" t="s">
        <v>11</v>
      </c>
      <c r="Q11" s="92"/>
      <c r="R11" s="92"/>
      <c r="S11" s="92"/>
      <c r="T11" s="92"/>
      <c r="U11" s="92"/>
      <c r="V11" s="92"/>
      <c r="W11" s="92"/>
      <c r="X11" s="93"/>
      <c r="Y11" s="84" t="s">
        <v>12</v>
      </c>
      <c r="Z11" s="81" t="s">
        <v>13</v>
      </c>
      <c r="AA11" s="107" t="s">
        <v>57</v>
      </c>
      <c r="AB11" s="81" t="s">
        <v>14</v>
      </c>
      <c r="AC11" s="81" t="s">
        <v>15</v>
      </c>
      <c r="AD11" s="84" t="s">
        <v>58</v>
      </c>
    </row>
    <row r="12" spans="1:33" s="19" customFormat="1" ht="12.75" customHeight="1">
      <c r="A12" s="100"/>
      <c r="B12" s="80"/>
      <c r="C12" s="80"/>
      <c r="D12" s="89"/>
      <c r="E12" s="89"/>
      <c r="F12" s="80"/>
      <c r="G12" s="94"/>
      <c r="H12" s="95"/>
      <c r="I12" s="96"/>
      <c r="J12" s="94"/>
      <c r="K12" s="95"/>
      <c r="L12" s="95"/>
      <c r="M12" s="95"/>
      <c r="N12" s="95"/>
      <c r="O12" s="95"/>
      <c r="P12" s="94"/>
      <c r="Q12" s="95"/>
      <c r="R12" s="95"/>
      <c r="S12" s="95"/>
      <c r="T12" s="95"/>
      <c r="U12" s="95"/>
      <c r="V12" s="95"/>
      <c r="W12" s="95"/>
      <c r="X12" s="96"/>
      <c r="Y12" s="84"/>
      <c r="Z12" s="82"/>
      <c r="AA12" s="107"/>
      <c r="AB12" s="82"/>
      <c r="AC12" s="82"/>
      <c r="AD12" s="84"/>
    </row>
    <row r="13" spans="1:33" s="19" customFormat="1" ht="12.75" customHeight="1">
      <c r="A13" s="100"/>
      <c r="B13" s="80"/>
      <c r="C13" s="80"/>
      <c r="D13" s="89"/>
      <c r="E13" s="89"/>
      <c r="F13" s="80"/>
      <c r="G13" s="97"/>
      <c r="H13" s="98"/>
      <c r="I13" s="99"/>
      <c r="J13" s="97"/>
      <c r="K13" s="98"/>
      <c r="L13" s="98"/>
      <c r="M13" s="98"/>
      <c r="N13" s="98"/>
      <c r="O13" s="98"/>
      <c r="P13" s="97"/>
      <c r="Q13" s="98"/>
      <c r="R13" s="98"/>
      <c r="S13" s="98"/>
      <c r="T13" s="98"/>
      <c r="U13" s="98"/>
      <c r="V13" s="98"/>
      <c r="W13" s="98"/>
      <c r="X13" s="99"/>
      <c r="Y13" s="84"/>
      <c r="Z13" s="82"/>
      <c r="AA13" s="107"/>
      <c r="AB13" s="82"/>
      <c r="AC13" s="82"/>
      <c r="AD13" s="84"/>
    </row>
    <row r="14" spans="1:33" s="19" customFormat="1" ht="12.75" customHeight="1">
      <c r="A14" s="100"/>
      <c r="B14" s="80"/>
      <c r="C14" s="80"/>
      <c r="D14" s="89"/>
      <c r="E14" s="89"/>
      <c r="F14" s="80"/>
      <c r="G14" s="85" t="s">
        <v>16</v>
      </c>
      <c r="H14" s="88" t="s">
        <v>17</v>
      </c>
      <c r="I14" s="88" t="s">
        <v>18</v>
      </c>
      <c r="J14" s="88" t="s">
        <v>19</v>
      </c>
      <c r="K14" s="88" t="s">
        <v>20</v>
      </c>
      <c r="L14" s="88" t="s">
        <v>21</v>
      </c>
      <c r="M14" s="88" t="s">
        <v>22</v>
      </c>
      <c r="N14" s="88" t="s">
        <v>23</v>
      </c>
      <c r="O14" s="88" t="s">
        <v>24</v>
      </c>
      <c r="P14" s="88" t="s">
        <v>25</v>
      </c>
      <c r="Q14" s="104" t="s">
        <v>26</v>
      </c>
      <c r="R14" s="80" t="s">
        <v>27</v>
      </c>
      <c r="S14" s="108" t="s">
        <v>28</v>
      </c>
      <c r="T14" s="88" t="s">
        <v>29</v>
      </c>
      <c r="U14" s="108" t="s">
        <v>30</v>
      </c>
      <c r="V14" s="88" t="s">
        <v>31</v>
      </c>
      <c r="W14" s="88" t="s">
        <v>32</v>
      </c>
      <c r="X14" s="88" t="s">
        <v>33</v>
      </c>
      <c r="Y14" s="84"/>
      <c r="Z14" s="82"/>
      <c r="AA14" s="107"/>
      <c r="AB14" s="82"/>
      <c r="AC14" s="82"/>
      <c r="AD14" s="84"/>
    </row>
    <row r="15" spans="1:33" s="19" customFormat="1" ht="12.75" customHeight="1">
      <c r="A15" s="100"/>
      <c r="B15" s="80"/>
      <c r="C15" s="80"/>
      <c r="D15" s="89"/>
      <c r="E15" s="89"/>
      <c r="F15" s="80"/>
      <c r="G15" s="86"/>
      <c r="H15" s="89"/>
      <c r="I15" s="89"/>
      <c r="J15" s="89"/>
      <c r="K15" s="89"/>
      <c r="L15" s="89"/>
      <c r="M15" s="89"/>
      <c r="N15" s="89"/>
      <c r="O15" s="89"/>
      <c r="P15" s="89"/>
      <c r="Q15" s="105"/>
      <c r="R15" s="80"/>
      <c r="S15" s="109"/>
      <c r="T15" s="89"/>
      <c r="U15" s="109"/>
      <c r="V15" s="89"/>
      <c r="W15" s="89"/>
      <c r="X15" s="89"/>
      <c r="Y15" s="84"/>
      <c r="Z15" s="82"/>
      <c r="AA15" s="107"/>
      <c r="AB15" s="82"/>
      <c r="AC15" s="82"/>
      <c r="AD15" s="84"/>
    </row>
    <row r="16" spans="1:33" s="19" customFormat="1" ht="12.75" customHeight="1">
      <c r="A16" s="100"/>
      <c r="B16" s="80"/>
      <c r="C16" s="80"/>
      <c r="D16" s="89"/>
      <c r="E16" s="89"/>
      <c r="F16" s="80"/>
      <c r="G16" s="86"/>
      <c r="H16" s="89"/>
      <c r="I16" s="89"/>
      <c r="J16" s="89"/>
      <c r="K16" s="89"/>
      <c r="L16" s="89"/>
      <c r="M16" s="89"/>
      <c r="N16" s="89"/>
      <c r="O16" s="89"/>
      <c r="P16" s="89"/>
      <c r="Q16" s="105"/>
      <c r="R16" s="80"/>
      <c r="S16" s="109"/>
      <c r="T16" s="89"/>
      <c r="U16" s="109"/>
      <c r="V16" s="89"/>
      <c r="W16" s="89"/>
      <c r="X16" s="89"/>
      <c r="Y16" s="84"/>
      <c r="Z16" s="82"/>
      <c r="AA16" s="107"/>
      <c r="AB16" s="82"/>
      <c r="AC16" s="82"/>
      <c r="AD16" s="84"/>
    </row>
    <row r="17" spans="1:31" s="19" customFormat="1" ht="12.75" customHeight="1">
      <c r="A17" s="100"/>
      <c r="B17" s="80"/>
      <c r="C17" s="80"/>
      <c r="D17" s="89"/>
      <c r="E17" s="89"/>
      <c r="F17" s="80"/>
      <c r="G17" s="86"/>
      <c r="H17" s="89"/>
      <c r="I17" s="89"/>
      <c r="J17" s="89"/>
      <c r="K17" s="89"/>
      <c r="L17" s="89"/>
      <c r="M17" s="89"/>
      <c r="N17" s="89"/>
      <c r="O17" s="89"/>
      <c r="P17" s="89"/>
      <c r="Q17" s="105"/>
      <c r="R17" s="80"/>
      <c r="S17" s="109"/>
      <c r="T17" s="89"/>
      <c r="U17" s="109"/>
      <c r="V17" s="89"/>
      <c r="W17" s="89"/>
      <c r="X17" s="89"/>
      <c r="Y17" s="84"/>
      <c r="Z17" s="82"/>
      <c r="AA17" s="107"/>
      <c r="AB17" s="82"/>
      <c r="AC17" s="82"/>
      <c r="AD17" s="84"/>
    </row>
    <row r="18" spans="1:31" s="19" customFormat="1" ht="12.75" customHeight="1">
      <c r="A18" s="100"/>
      <c r="B18" s="80"/>
      <c r="C18" s="80"/>
      <c r="D18" s="89"/>
      <c r="E18" s="89"/>
      <c r="F18" s="80"/>
      <c r="G18" s="86"/>
      <c r="H18" s="89"/>
      <c r="I18" s="89"/>
      <c r="J18" s="89"/>
      <c r="K18" s="89"/>
      <c r="L18" s="89"/>
      <c r="M18" s="89"/>
      <c r="N18" s="89"/>
      <c r="O18" s="89"/>
      <c r="P18" s="89"/>
      <c r="Q18" s="105"/>
      <c r="R18" s="80"/>
      <c r="S18" s="109"/>
      <c r="T18" s="89"/>
      <c r="U18" s="109"/>
      <c r="V18" s="89"/>
      <c r="W18" s="89"/>
      <c r="X18" s="89"/>
      <c r="Y18" s="84"/>
      <c r="Z18" s="82"/>
      <c r="AA18" s="107"/>
      <c r="AB18" s="82"/>
      <c r="AC18" s="82"/>
      <c r="AD18" s="84"/>
    </row>
    <row r="19" spans="1:31" s="19" customFormat="1" ht="42" customHeight="1">
      <c r="A19" s="100"/>
      <c r="B19" s="80"/>
      <c r="C19" s="80"/>
      <c r="D19" s="90"/>
      <c r="E19" s="90"/>
      <c r="F19" s="80"/>
      <c r="G19" s="87"/>
      <c r="H19" s="90"/>
      <c r="I19" s="90"/>
      <c r="J19" s="90"/>
      <c r="K19" s="90"/>
      <c r="L19" s="90"/>
      <c r="M19" s="90"/>
      <c r="N19" s="90"/>
      <c r="O19" s="90"/>
      <c r="P19" s="90"/>
      <c r="Q19" s="106"/>
      <c r="R19" s="80"/>
      <c r="S19" s="110"/>
      <c r="T19" s="90"/>
      <c r="U19" s="110"/>
      <c r="V19" s="90"/>
      <c r="W19" s="90"/>
      <c r="X19" s="90"/>
      <c r="Y19" s="84"/>
      <c r="Z19" s="83"/>
      <c r="AA19" s="107"/>
      <c r="AB19" s="83"/>
      <c r="AC19" s="83"/>
      <c r="AD19" s="84"/>
    </row>
    <row r="20" spans="1:31" s="24" customFormat="1" ht="15.75">
      <c r="A20" s="41">
        <v>1</v>
      </c>
      <c r="B20" s="42" t="s">
        <v>34</v>
      </c>
      <c r="C20" s="41">
        <v>1</v>
      </c>
      <c r="D20" s="43">
        <v>8194</v>
      </c>
      <c r="E20" s="44"/>
      <c r="F20" s="45">
        <f>D20+D20*0.2</f>
        <v>9832.7999999999993</v>
      </c>
      <c r="G20" s="44">
        <f>F20*30%</f>
        <v>2949.8399999999997</v>
      </c>
      <c r="H20" s="44">
        <f>F20*50%</f>
        <v>4916.3999999999996</v>
      </c>
      <c r="I20" s="44"/>
      <c r="J20" s="44"/>
      <c r="K20" s="44"/>
      <c r="L20" s="44"/>
      <c r="M20" s="44"/>
      <c r="N20" s="44"/>
      <c r="O20" s="44"/>
      <c r="P20" s="44"/>
      <c r="Q20" s="45"/>
      <c r="R20" s="44"/>
      <c r="S20" s="45"/>
      <c r="T20" s="45"/>
      <c r="U20" s="45"/>
      <c r="V20" s="45"/>
      <c r="W20" s="45"/>
      <c r="X20" s="45"/>
      <c r="Y20" s="45">
        <f>F20*0.3</f>
        <v>2949.8399999999997</v>
      </c>
      <c r="Z20" s="45"/>
      <c r="AA20" s="46">
        <f>SUM(F20:Y20)</f>
        <v>20648.88</v>
      </c>
      <c r="AB20" s="45"/>
      <c r="AC20" s="45"/>
      <c r="AD20" s="46">
        <f t="shared" ref="AD20:AD28" si="0">AA20*6+AB20+AC20</f>
        <v>123893.28</v>
      </c>
    </row>
    <row r="21" spans="1:31" s="24" customFormat="1" ht="17.25" customHeight="1">
      <c r="A21" s="41">
        <v>2</v>
      </c>
      <c r="B21" s="47" t="s">
        <v>35</v>
      </c>
      <c r="C21" s="48">
        <v>1</v>
      </c>
      <c r="D21" s="49">
        <f>ROUND(D20*0.95,0)</f>
        <v>7784</v>
      </c>
      <c r="E21" s="44"/>
      <c r="F21" s="44">
        <f>D21*0.5+D21*0.2*0.5</f>
        <v>4670.3999999999996</v>
      </c>
      <c r="G21" s="44">
        <f>F21*30%</f>
        <v>1401.12</v>
      </c>
      <c r="H21" s="44">
        <f>F21*10%</f>
        <v>467.03999999999996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>
        <f>F21*0.2</f>
        <v>934.07999999999993</v>
      </c>
      <c r="Z21" s="45"/>
      <c r="AA21" s="50">
        <f>SUM(F21:Y21)</f>
        <v>7472.6399999999994</v>
      </c>
      <c r="AB21" s="44"/>
      <c r="AC21" s="44"/>
      <c r="AD21" s="50">
        <f t="shared" si="0"/>
        <v>44835.839999999997</v>
      </c>
    </row>
    <row r="22" spans="1:31" s="24" customFormat="1" ht="19.5" customHeight="1">
      <c r="A22" s="41">
        <v>4</v>
      </c>
      <c r="B22" s="42" t="s">
        <v>36</v>
      </c>
      <c r="C22" s="41">
        <v>0.5</v>
      </c>
      <c r="D22" s="49">
        <v>7107</v>
      </c>
      <c r="E22" s="44"/>
      <c r="F22" s="45">
        <f>(D22+E22)*C22</f>
        <v>3553.5</v>
      </c>
      <c r="G22" s="44">
        <f>F22*20%</f>
        <v>710.7</v>
      </c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>
        <f>F22*0.3</f>
        <v>1066.05</v>
      </c>
      <c r="Z22" s="45"/>
      <c r="AA22" s="46">
        <f t="shared" ref="AA22:AA28" si="1">SUM(F22:Y22)</f>
        <v>5330.25</v>
      </c>
      <c r="AB22" s="45"/>
      <c r="AC22" s="45"/>
      <c r="AD22" s="46">
        <f t="shared" si="0"/>
        <v>31981.5</v>
      </c>
    </row>
    <row r="23" spans="1:31" s="24" customFormat="1" ht="19.5" customHeight="1">
      <c r="A23" s="41">
        <v>5</v>
      </c>
      <c r="B23" s="42" t="s">
        <v>37</v>
      </c>
      <c r="C23" s="41">
        <v>0.5</v>
      </c>
      <c r="D23" s="49">
        <v>7107</v>
      </c>
      <c r="E23" s="44"/>
      <c r="F23" s="45">
        <f>(D23+E23)*C23</f>
        <v>3553.5</v>
      </c>
      <c r="G23" s="44">
        <f>F23*20%</f>
        <v>710.7</v>
      </c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>
        <f>5786*0.5*0.1+5786*0.5*0.2</f>
        <v>867.90000000000009</v>
      </c>
      <c r="Z23" s="45"/>
      <c r="AA23" s="46">
        <f t="shared" si="1"/>
        <v>5132.1000000000004</v>
      </c>
      <c r="AB23" s="45"/>
      <c r="AC23" s="45"/>
      <c r="AD23" s="46">
        <f t="shared" si="0"/>
        <v>30792.600000000002</v>
      </c>
    </row>
    <row r="24" spans="1:31" s="24" customFormat="1" ht="19.5" customHeight="1">
      <c r="A24" s="41">
        <v>6</v>
      </c>
      <c r="B24" s="42" t="s">
        <v>38</v>
      </c>
      <c r="C24" s="41">
        <v>1</v>
      </c>
      <c r="D24" s="49">
        <v>6226</v>
      </c>
      <c r="E24" s="44"/>
      <c r="F24" s="45">
        <f>(D24+E24)*C24</f>
        <v>6226</v>
      </c>
      <c r="G24" s="44">
        <f>F24*20%</f>
        <v>1245.2</v>
      </c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>
        <f>5345*0.5*0.2+6226*0.5*0.3</f>
        <v>1468.4</v>
      </c>
      <c r="Z24" s="45"/>
      <c r="AA24" s="46">
        <f t="shared" si="1"/>
        <v>8939.6</v>
      </c>
      <c r="AB24" s="45"/>
      <c r="AC24" s="45"/>
      <c r="AD24" s="46">
        <f t="shared" si="0"/>
        <v>53637.600000000006</v>
      </c>
    </row>
    <row r="25" spans="1:31" s="24" customFormat="1" ht="20.25" customHeight="1">
      <c r="A25" s="41">
        <v>7</v>
      </c>
      <c r="B25" s="42" t="s">
        <v>39</v>
      </c>
      <c r="C25" s="41">
        <v>0.5</v>
      </c>
      <c r="D25" s="45">
        <v>6226</v>
      </c>
      <c r="E25" s="44"/>
      <c r="F25" s="45">
        <f>(D25+E25)*C25</f>
        <v>3113</v>
      </c>
      <c r="G25" s="44">
        <f>F25*20%</f>
        <v>622.6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>
        <f>F25*0.3</f>
        <v>933.9</v>
      </c>
      <c r="Z25" s="45"/>
      <c r="AA25" s="46">
        <f>SUM(F25:Y25)</f>
        <v>4669.5</v>
      </c>
      <c r="AB25" s="45"/>
      <c r="AC25" s="45"/>
      <c r="AD25" s="46">
        <f t="shared" si="0"/>
        <v>28017</v>
      </c>
    </row>
    <row r="26" spans="1:31" s="24" customFormat="1" ht="20.25" customHeight="1">
      <c r="A26" s="41">
        <v>8</v>
      </c>
      <c r="B26" s="51" t="s">
        <v>40</v>
      </c>
      <c r="C26" s="44">
        <v>5.5</v>
      </c>
      <c r="D26" s="49">
        <f>F26/C26</f>
        <v>7107</v>
      </c>
      <c r="E26" s="44"/>
      <c r="F26" s="49">
        <f>7107/18*99</f>
        <v>39088.5</v>
      </c>
      <c r="G26" s="44">
        <f>F26*30%</f>
        <v>11726.55</v>
      </c>
      <c r="H26" s="49"/>
      <c r="I26" s="44"/>
      <c r="J26" s="44"/>
      <c r="K26" s="44"/>
      <c r="L26" s="44"/>
      <c r="M26" s="44"/>
      <c r="N26" s="44"/>
      <c r="O26" s="44"/>
      <c r="P26" s="44"/>
      <c r="Q26" s="44"/>
      <c r="R26" s="49">
        <f>7107/18*72*0.15</f>
        <v>4264.2</v>
      </c>
      <c r="S26" s="49">
        <f>7107*4*0.2</f>
        <v>5685.6</v>
      </c>
      <c r="T26" s="49"/>
      <c r="U26" s="44"/>
      <c r="V26" s="49"/>
      <c r="X26" s="49"/>
      <c r="Y26" s="49">
        <f>7107/18*99*0.3</f>
        <v>11726.55</v>
      </c>
      <c r="Z26" s="45"/>
      <c r="AA26" s="46">
        <f>SUM(F26:Y26)+1009.77</f>
        <v>73501.17</v>
      </c>
      <c r="AB26" s="45"/>
      <c r="AC26" s="45"/>
      <c r="AD26" s="46">
        <f t="shared" si="0"/>
        <v>441007.02</v>
      </c>
    </row>
    <row r="27" spans="1:31" s="24" customFormat="1" ht="18.75" customHeight="1">
      <c r="A27" s="41">
        <v>9</v>
      </c>
      <c r="B27" s="42" t="s">
        <v>41</v>
      </c>
      <c r="C27" s="44">
        <v>9.5500000000000007</v>
      </c>
      <c r="D27" s="49">
        <f>F27/C27</f>
        <v>7111.134380453751</v>
      </c>
      <c r="E27" s="44"/>
      <c r="F27" s="49">
        <f>7107/18*172</f>
        <v>67911.333333333328</v>
      </c>
      <c r="G27" s="44">
        <f>F27*20%</f>
        <v>13582.266666666666</v>
      </c>
      <c r="H27" s="45"/>
      <c r="I27" s="44"/>
      <c r="J27" s="44"/>
      <c r="K27" s="44"/>
      <c r="L27" s="44"/>
      <c r="M27" s="44"/>
      <c r="N27" s="44"/>
      <c r="O27" s="44"/>
      <c r="P27" s="44"/>
      <c r="Q27" s="44"/>
      <c r="R27" s="49">
        <f>7107/18*90*0.15</f>
        <v>5330.25</v>
      </c>
      <c r="S27" s="49">
        <f>7107*5*0.25</f>
        <v>8883.75</v>
      </c>
      <c r="T27" s="49"/>
      <c r="U27" s="44"/>
      <c r="V27" s="44"/>
      <c r="W27" s="49"/>
      <c r="X27" s="44"/>
      <c r="Y27" s="49">
        <f>7107/18*172*0.3</f>
        <v>20373.399999999998</v>
      </c>
      <c r="Z27" s="45"/>
      <c r="AA27" s="46">
        <f>SUM(F27:Y27)</f>
        <v>116080.99999999999</v>
      </c>
      <c r="AB27" s="45"/>
      <c r="AC27" s="45"/>
      <c r="AD27" s="46">
        <f t="shared" si="0"/>
        <v>696485.99999999988</v>
      </c>
    </row>
    <row r="28" spans="1:31" s="24" customFormat="1" ht="18.75" customHeight="1">
      <c r="A28" s="41">
        <v>10</v>
      </c>
      <c r="B28" s="42" t="s">
        <v>42</v>
      </c>
      <c r="C28" s="44">
        <v>1</v>
      </c>
      <c r="D28" s="49">
        <v>6226</v>
      </c>
      <c r="E28" s="44"/>
      <c r="F28" s="49">
        <f>D28*C28</f>
        <v>6226</v>
      </c>
      <c r="G28" s="44">
        <f>F28*20%</f>
        <v>1245.2</v>
      </c>
      <c r="H28" s="45"/>
      <c r="I28" s="44"/>
      <c r="J28" s="44"/>
      <c r="K28" s="44"/>
      <c r="L28" s="44"/>
      <c r="M28" s="44"/>
      <c r="N28" s="44"/>
      <c r="O28" s="44"/>
      <c r="P28" s="44"/>
      <c r="Q28" s="44">
        <f>F28*0.2</f>
        <v>1245.2</v>
      </c>
      <c r="R28" s="49"/>
      <c r="S28" s="49"/>
      <c r="T28" s="45"/>
      <c r="U28" s="44"/>
      <c r="V28" s="44"/>
      <c r="W28" s="49"/>
      <c r="X28" s="44"/>
      <c r="Y28" s="49">
        <f>6226*0.3</f>
        <v>1867.8</v>
      </c>
      <c r="Z28" s="45"/>
      <c r="AA28" s="46">
        <f t="shared" si="1"/>
        <v>10584.199999999999</v>
      </c>
      <c r="AB28" s="45"/>
      <c r="AC28" s="45"/>
      <c r="AD28" s="46">
        <f t="shared" si="0"/>
        <v>63505.2</v>
      </c>
    </row>
    <row r="29" spans="1:31" s="24" customFormat="1" ht="24" customHeight="1">
      <c r="A29" s="41"/>
      <c r="B29" s="52" t="s">
        <v>43</v>
      </c>
      <c r="C29" s="53">
        <f t="shared" ref="C29:AD29" si="2">SUM(C20:C28)</f>
        <v>20.55</v>
      </c>
      <c r="D29" s="53">
        <f t="shared" si="2"/>
        <v>63088.134380453754</v>
      </c>
      <c r="E29" s="53">
        <f t="shared" si="2"/>
        <v>0</v>
      </c>
      <c r="F29" s="53">
        <f t="shared" si="2"/>
        <v>144175.03333333333</v>
      </c>
      <c r="G29" s="53">
        <f t="shared" si="2"/>
        <v>34194.176666666666</v>
      </c>
      <c r="H29" s="53">
        <f t="shared" si="2"/>
        <v>5383.44</v>
      </c>
      <c r="I29" s="53">
        <f t="shared" si="2"/>
        <v>0</v>
      </c>
      <c r="J29" s="53">
        <f t="shared" si="2"/>
        <v>0</v>
      </c>
      <c r="K29" s="53">
        <f t="shared" si="2"/>
        <v>0</v>
      </c>
      <c r="L29" s="53">
        <f t="shared" si="2"/>
        <v>0</v>
      </c>
      <c r="M29" s="53">
        <f t="shared" si="2"/>
        <v>0</v>
      </c>
      <c r="N29" s="53">
        <f t="shared" si="2"/>
        <v>0</v>
      </c>
      <c r="O29" s="53">
        <f t="shared" si="2"/>
        <v>0</v>
      </c>
      <c r="P29" s="53">
        <f t="shared" si="2"/>
        <v>0</v>
      </c>
      <c r="Q29" s="53">
        <f t="shared" si="2"/>
        <v>1245.2</v>
      </c>
      <c r="R29" s="53">
        <f t="shared" si="2"/>
        <v>9594.4500000000007</v>
      </c>
      <c r="S29" s="53">
        <f t="shared" si="2"/>
        <v>14569.35</v>
      </c>
      <c r="T29" s="53">
        <f t="shared" si="2"/>
        <v>0</v>
      </c>
      <c r="U29" s="53">
        <f t="shared" si="2"/>
        <v>0</v>
      </c>
      <c r="V29" s="53">
        <f t="shared" si="2"/>
        <v>0</v>
      </c>
      <c r="W29" s="53">
        <f t="shared" si="2"/>
        <v>0</v>
      </c>
      <c r="X29" s="53">
        <f t="shared" si="2"/>
        <v>0</v>
      </c>
      <c r="Y29" s="53">
        <f t="shared" si="2"/>
        <v>42187.92</v>
      </c>
      <c r="Z29" s="53">
        <f t="shared" si="2"/>
        <v>0</v>
      </c>
      <c r="AA29" s="53">
        <f t="shared" si="2"/>
        <v>252359.34</v>
      </c>
      <c r="AB29" s="53">
        <f t="shared" si="2"/>
        <v>0</v>
      </c>
      <c r="AC29" s="53">
        <f t="shared" si="2"/>
        <v>0</v>
      </c>
      <c r="AD29" s="53">
        <f t="shared" si="2"/>
        <v>1514156.0399999998</v>
      </c>
      <c r="AE29" s="24">
        <f>AA29*6</f>
        <v>1514156.04</v>
      </c>
    </row>
    <row r="30" spans="1:31" s="24" customFormat="1" ht="31.5">
      <c r="A30" s="41">
        <v>10</v>
      </c>
      <c r="B30" s="42" t="s">
        <v>44</v>
      </c>
      <c r="C30" s="41">
        <v>1</v>
      </c>
      <c r="D30" s="43">
        <v>4379</v>
      </c>
      <c r="E30" s="45"/>
      <c r="F30" s="45">
        <f t="shared" ref="F30:F38" si="3">D30*C30</f>
        <v>4379</v>
      </c>
      <c r="G30" s="45"/>
      <c r="H30" s="44">
        <f>F30*0.3</f>
        <v>1313.7</v>
      </c>
      <c r="I30" s="54"/>
      <c r="J30" s="54"/>
      <c r="K30" s="54"/>
      <c r="L30" s="54"/>
      <c r="M30" s="54"/>
      <c r="N30" s="54"/>
      <c r="O30" s="54"/>
      <c r="P30" s="54"/>
      <c r="Q30" s="45"/>
      <c r="R30" s="45"/>
      <c r="S30" s="45"/>
      <c r="T30" s="54"/>
      <c r="U30" s="55"/>
      <c r="V30" s="55"/>
      <c r="W30" s="45"/>
      <c r="X30" s="45"/>
      <c r="Y30" s="45"/>
      <c r="Z30" s="45">
        <f>6000*C30-(F30+H30+I30+P30+Y30)</f>
        <v>307.30000000000018</v>
      </c>
      <c r="AA30" s="46">
        <f>SUM(F30:Z30)</f>
        <v>6000</v>
      </c>
      <c r="AB30" s="45">
        <v>0</v>
      </c>
      <c r="AC30" s="45"/>
      <c r="AD30" s="46">
        <f t="shared" ref="AD30:AD38" si="4">AA30*6+AB30+AC30</f>
        <v>36000</v>
      </c>
    </row>
    <row r="31" spans="1:31" s="24" customFormat="1" ht="18.75" customHeight="1">
      <c r="A31" s="41">
        <v>11</v>
      </c>
      <c r="B31" s="42" t="s">
        <v>45</v>
      </c>
      <c r="C31" s="41">
        <v>0.5</v>
      </c>
      <c r="D31" s="49">
        <v>4619</v>
      </c>
      <c r="E31" s="44"/>
      <c r="F31" s="45">
        <f t="shared" si="3"/>
        <v>2309.5</v>
      </c>
      <c r="G31" s="44"/>
      <c r="H31" s="44"/>
      <c r="I31" s="45">
        <f>F31*0.5</f>
        <v>1154.75</v>
      </c>
      <c r="J31" s="45"/>
      <c r="K31" s="45"/>
      <c r="L31" s="45"/>
      <c r="M31" s="45"/>
      <c r="N31" s="45"/>
      <c r="O31" s="45"/>
      <c r="P31" s="45">
        <f>F31*0.15</f>
        <v>346.42500000000001</v>
      </c>
      <c r="Q31" s="45"/>
      <c r="R31" s="45"/>
      <c r="S31" s="45"/>
      <c r="T31" s="45"/>
      <c r="U31" s="45"/>
      <c r="V31" s="45"/>
      <c r="W31" s="45"/>
      <c r="X31" s="45"/>
      <c r="Y31" s="45">
        <f>F31*0.3</f>
        <v>692.85</v>
      </c>
      <c r="Z31" s="45"/>
      <c r="AA31" s="46">
        <f>SUM(F31:Z31)</f>
        <v>4503.5250000000005</v>
      </c>
      <c r="AB31" s="45">
        <v>0</v>
      </c>
      <c r="AC31" s="45"/>
      <c r="AD31" s="46">
        <f t="shared" si="4"/>
        <v>27021.15</v>
      </c>
    </row>
    <row r="32" spans="1:31" s="24" customFormat="1" ht="30.75" customHeight="1">
      <c r="A32" s="41">
        <v>12</v>
      </c>
      <c r="B32" s="42" t="s">
        <v>46</v>
      </c>
      <c r="C32" s="56">
        <v>1</v>
      </c>
      <c r="D32" s="49">
        <v>4619</v>
      </c>
      <c r="E32" s="49"/>
      <c r="F32" s="45">
        <f t="shared" si="3"/>
        <v>4619</v>
      </c>
      <c r="G32" s="44"/>
      <c r="H32" s="44">
        <f>F32*0.5</f>
        <v>2309.5</v>
      </c>
      <c r="I32" s="44"/>
      <c r="J32" s="44"/>
      <c r="K32" s="44"/>
      <c r="L32" s="44"/>
      <c r="M32" s="44"/>
      <c r="N32" s="44"/>
      <c r="O32" s="44"/>
      <c r="P32" s="44"/>
      <c r="Q32" s="44"/>
      <c r="R32" s="49"/>
      <c r="S32" s="49"/>
      <c r="T32" s="44"/>
      <c r="U32" s="44"/>
      <c r="V32" s="44"/>
      <c r="W32" s="49"/>
      <c r="X32" s="44">
        <f>F32*0.1</f>
        <v>461.90000000000003</v>
      </c>
      <c r="Y32" s="49">
        <f>D32*0.2</f>
        <v>923.80000000000007</v>
      </c>
      <c r="Z32" s="45"/>
      <c r="AA32" s="46">
        <f>SUM(F32:Z32)-33.1</f>
        <v>8281.0999999999985</v>
      </c>
      <c r="AB32" s="45">
        <v>0</v>
      </c>
      <c r="AC32" s="45"/>
      <c r="AD32" s="46">
        <f t="shared" si="4"/>
        <v>49686.599999999991</v>
      </c>
    </row>
    <row r="33" spans="1:33" s="24" customFormat="1" ht="15.75">
      <c r="A33" s="41">
        <v>13</v>
      </c>
      <c r="B33" s="42" t="s">
        <v>47</v>
      </c>
      <c r="C33" s="41">
        <v>0.5</v>
      </c>
      <c r="D33" s="43">
        <v>3631</v>
      </c>
      <c r="E33" s="45"/>
      <c r="F33" s="45">
        <f t="shared" si="3"/>
        <v>1815.5</v>
      </c>
      <c r="G33" s="45"/>
      <c r="H33" s="45"/>
      <c r="I33" s="54"/>
      <c r="J33" s="54"/>
      <c r="K33" s="54"/>
      <c r="L33" s="54"/>
      <c r="M33" s="54"/>
      <c r="N33" s="54"/>
      <c r="O33" s="54"/>
      <c r="P33" s="54"/>
      <c r="Q33" s="45"/>
      <c r="R33" s="45"/>
      <c r="S33" s="45"/>
      <c r="T33" s="54"/>
      <c r="U33" s="55"/>
      <c r="V33" s="55"/>
      <c r="W33" s="45"/>
      <c r="X33" s="45"/>
      <c r="Y33" s="45"/>
      <c r="Z33" s="45">
        <f t="shared" ref="Z33:Z38" si="5">6000*C33-(F33+H33+I33+P33+Y33)</f>
        <v>1184.5</v>
      </c>
      <c r="AA33" s="46">
        <f t="shared" ref="AA33:AA38" si="6">SUM(F33:Z33)</f>
        <v>3000</v>
      </c>
      <c r="AB33" s="45">
        <v>0</v>
      </c>
      <c r="AC33" s="45"/>
      <c r="AD33" s="46">
        <f t="shared" si="4"/>
        <v>18000</v>
      </c>
    </row>
    <row r="34" spans="1:33" s="24" customFormat="1" ht="49.5" customHeight="1">
      <c r="A34" s="41">
        <v>14</v>
      </c>
      <c r="B34" s="57" t="s">
        <v>48</v>
      </c>
      <c r="C34" s="41">
        <v>1</v>
      </c>
      <c r="D34" s="43">
        <v>4379</v>
      </c>
      <c r="E34" s="58"/>
      <c r="F34" s="45">
        <f t="shared" si="3"/>
        <v>4379</v>
      </c>
      <c r="G34" s="45"/>
      <c r="H34" s="45"/>
      <c r="I34" s="58"/>
      <c r="J34" s="58"/>
      <c r="K34" s="58"/>
      <c r="L34" s="58"/>
      <c r="M34" s="58"/>
      <c r="N34" s="58"/>
      <c r="O34" s="58"/>
      <c r="P34" s="58"/>
      <c r="Q34" s="59"/>
      <c r="R34" s="59"/>
      <c r="S34" s="58"/>
      <c r="T34" s="58"/>
      <c r="U34" s="45"/>
      <c r="V34" s="45"/>
      <c r="W34" s="58"/>
      <c r="X34" s="58"/>
      <c r="Y34" s="45"/>
      <c r="Z34" s="45">
        <f t="shared" si="5"/>
        <v>1621</v>
      </c>
      <c r="AA34" s="46">
        <f t="shared" si="6"/>
        <v>6000</v>
      </c>
      <c r="AB34" s="45">
        <v>0</v>
      </c>
      <c r="AC34" s="45"/>
      <c r="AD34" s="46">
        <f t="shared" si="4"/>
        <v>36000</v>
      </c>
    </row>
    <row r="35" spans="1:33" s="24" customFormat="1" ht="15.75">
      <c r="A35" s="41">
        <v>15</v>
      </c>
      <c r="B35" s="42" t="s">
        <v>49</v>
      </c>
      <c r="C35" s="41">
        <v>3</v>
      </c>
      <c r="D35" s="43">
        <v>2910</v>
      </c>
      <c r="E35" s="58"/>
      <c r="F35" s="45">
        <f t="shared" si="3"/>
        <v>8730</v>
      </c>
      <c r="G35" s="45"/>
      <c r="H35" s="45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60"/>
      <c r="V35" s="60"/>
      <c r="W35" s="58"/>
      <c r="X35" s="45">
        <f>((F35/167)*1.4)*23</f>
        <v>1683.2694610778442</v>
      </c>
      <c r="Y35" s="45"/>
      <c r="Z35" s="45">
        <f t="shared" si="5"/>
        <v>9270</v>
      </c>
      <c r="AA35" s="46">
        <f t="shared" si="6"/>
        <v>19683.269461077842</v>
      </c>
      <c r="AB35" s="45">
        <v>0</v>
      </c>
      <c r="AC35" s="45"/>
      <c r="AD35" s="46">
        <f t="shared" si="4"/>
        <v>118099.61676646705</v>
      </c>
    </row>
    <row r="36" spans="1:33" s="24" customFormat="1" ht="15.75">
      <c r="A36" s="41">
        <v>16</v>
      </c>
      <c r="B36" s="42" t="s">
        <v>50</v>
      </c>
      <c r="C36" s="41">
        <f>0.5+0.5</f>
        <v>1</v>
      </c>
      <c r="D36" s="43">
        <v>2670</v>
      </c>
      <c r="E36" s="58"/>
      <c r="F36" s="45">
        <f t="shared" si="3"/>
        <v>2670</v>
      </c>
      <c r="G36" s="45"/>
      <c r="H36" s="45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60"/>
      <c r="V36" s="60"/>
      <c r="W36" s="58"/>
      <c r="X36" s="45"/>
      <c r="Y36" s="43"/>
      <c r="Z36" s="45">
        <f t="shared" si="5"/>
        <v>3330</v>
      </c>
      <c r="AA36" s="46">
        <f t="shared" si="6"/>
        <v>6000</v>
      </c>
      <c r="AB36" s="45">
        <v>0</v>
      </c>
      <c r="AC36" s="45"/>
      <c r="AD36" s="46">
        <f t="shared" si="4"/>
        <v>36000</v>
      </c>
    </row>
    <row r="37" spans="1:33" s="24" customFormat="1" ht="31.5">
      <c r="A37" s="41">
        <v>18</v>
      </c>
      <c r="B37" s="42" t="s">
        <v>51</v>
      </c>
      <c r="C37" s="41">
        <v>2.5</v>
      </c>
      <c r="D37" s="43">
        <v>2910</v>
      </c>
      <c r="E37" s="58"/>
      <c r="F37" s="45">
        <f t="shared" si="3"/>
        <v>7275</v>
      </c>
      <c r="G37" s="45"/>
      <c r="H37" s="45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60"/>
      <c r="V37" s="60"/>
      <c r="W37" s="58"/>
      <c r="X37" s="45">
        <f>F37*0.1</f>
        <v>727.5</v>
      </c>
      <c r="Y37" s="43"/>
      <c r="Z37" s="45">
        <f t="shared" si="5"/>
        <v>7725</v>
      </c>
      <c r="AA37" s="46">
        <f t="shared" si="6"/>
        <v>15727.5</v>
      </c>
      <c r="AB37" s="45">
        <v>0</v>
      </c>
      <c r="AC37" s="45"/>
      <c r="AD37" s="46">
        <f t="shared" si="4"/>
        <v>94365</v>
      </c>
    </row>
    <row r="38" spans="1:33" s="24" customFormat="1" ht="15.75">
      <c r="A38" s="41">
        <v>19</v>
      </c>
      <c r="B38" s="42" t="s">
        <v>52</v>
      </c>
      <c r="C38" s="41">
        <v>0.5</v>
      </c>
      <c r="D38" s="43">
        <v>4112</v>
      </c>
      <c r="E38" s="58"/>
      <c r="F38" s="45">
        <f t="shared" si="3"/>
        <v>2056</v>
      </c>
      <c r="G38" s="45"/>
      <c r="H38" s="45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60"/>
      <c r="V38" s="60"/>
      <c r="W38" s="58"/>
      <c r="X38" s="45"/>
      <c r="Y38" s="43"/>
      <c r="Z38" s="45">
        <f t="shared" si="5"/>
        <v>944</v>
      </c>
      <c r="AA38" s="46">
        <f t="shared" si="6"/>
        <v>3000</v>
      </c>
      <c r="AB38" s="45">
        <v>0</v>
      </c>
      <c r="AC38" s="45"/>
      <c r="AD38" s="46">
        <f t="shared" si="4"/>
        <v>18000</v>
      </c>
    </row>
    <row r="39" spans="1:33" s="65" customFormat="1" ht="15.75" customHeight="1">
      <c r="A39" s="61"/>
      <c r="B39" s="62" t="s">
        <v>53</v>
      </c>
      <c r="C39" s="63">
        <f t="shared" ref="C39:AD39" si="7">SUM(C30:C38)</f>
        <v>11</v>
      </c>
      <c r="D39" s="64">
        <f t="shared" si="7"/>
        <v>34229</v>
      </c>
      <c r="E39" s="64">
        <f t="shared" si="7"/>
        <v>0</v>
      </c>
      <c r="F39" s="64">
        <f t="shared" si="7"/>
        <v>38233</v>
      </c>
      <c r="G39" s="64">
        <f t="shared" si="7"/>
        <v>0</v>
      </c>
      <c r="H39" s="64">
        <f t="shared" si="7"/>
        <v>3623.2</v>
      </c>
      <c r="I39" s="64">
        <f t="shared" si="7"/>
        <v>1154.75</v>
      </c>
      <c r="J39" s="64">
        <f t="shared" si="7"/>
        <v>0</v>
      </c>
      <c r="K39" s="64">
        <f t="shared" si="7"/>
        <v>0</v>
      </c>
      <c r="L39" s="64">
        <f t="shared" si="7"/>
        <v>0</v>
      </c>
      <c r="M39" s="64">
        <f t="shared" si="7"/>
        <v>0</v>
      </c>
      <c r="N39" s="64">
        <f t="shared" si="7"/>
        <v>0</v>
      </c>
      <c r="O39" s="64">
        <f t="shared" si="7"/>
        <v>0</v>
      </c>
      <c r="P39" s="64">
        <f t="shared" si="7"/>
        <v>346.42500000000001</v>
      </c>
      <c r="Q39" s="64">
        <f t="shared" si="7"/>
        <v>0</v>
      </c>
      <c r="R39" s="64">
        <f t="shared" si="7"/>
        <v>0</v>
      </c>
      <c r="S39" s="64">
        <f t="shared" si="7"/>
        <v>0</v>
      </c>
      <c r="T39" s="64">
        <f t="shared" si="7"/>
        <v>0</v>
      </c>
      <c r="U39" s="64">
        <f t="shared" si="7"/>
        <v>0</v>
      </c>
      <c r="V39" s="64">
        <f t="shared" si="7"/>
        <v>0</v>
      </c>
      <c r="W39" s="64">
        <f t="shared" si="7"/>
        <v>0</v>
      </c>
      <c r="X39" s="64">
        <f t="shared" si="7"/>
        <v>2872.6694610778441</v>
      </c>
      <c r="Y39" s="64">
        <f t="shared" si="7"/>
        <v>1616.65</v>
      </c>
      <c r="Z39" s="64">
        <f t="shared" si="7"/>
        <v>24381.8</v>
      </c>
      <c r="AA39" s="64">
        <f t="shared" si="7"/>
        <v>72195.394461077842</v>
      </c>
      <c r="AB39" s="64">
        <f t="shared" si="7"/>
        <v>0</v>
      </c>
      <c r="AC39" s="64">
        <f t="shared" si="7"/>
        <v>0</v>
      </c>
      <c r="AD39" s="64">
        <f t="shared" si="7"/>
        <v>433172.36676646705</v>
      </c>
      <c r="AE39" s="65">
        <f>AA39*6</f>
        <v>433172.36676646705</v>
      </c>
    </row>
    <row r="40" spans="1:33" ht="15.75">
      <c r="A40" s="66"/>
      <c r="B40" s="67" t="s">
        <v>54</v>
      </c>
      <c r="C40" s="68">
        <f t="shared" ref="C40:AD40" si="8">C29+C39</f>
        <v>31.55</v>
      </c>
      <c r="D40" s="69">
        <f t="shared" si="8"/>
        <v>97317.134380453761</v>
      </c>
      <c r="E40" s="69">
        <f t="shared" si="8"/>
        <v>0</v>
      </c>
      <c r="F40" s="69">
        <f t="shared" si="8"/>
        <v>182408.03333333333</v>
      </c>
      <c r="G40" s="69">
        <f t="shared" si="8"/>
        <v>34194.176666666666</v>
      </c>
      <c r="H40" s="69">
        <f t="shared" si="8"/>
        <v>9006.64</v>
      </c>
      <c r="I40" s="69">
        <f t="shared" si="8"/>
        <v>1154.75</v>
      </c>
      <c r="J40" s="69">
        <f t="shared" si="8"/>
        <v>0</v>
      </c>
      <c r="K40" s="69">
        <f t="shared" si="8"/>
        <v>0</v>
      </c>
      <c r="L40" s="69">
        <f t="shared" si="8"/>
        <v>0</v>
      </c>
      <c r="M40" s="69">
        <f t="shared" si="8"/>
        <v>0</v>
      </c>
      <c r="N40" s="69">
        <f t="shared" si="8"/>
        <v>0</v>
      </c>
      <c r="O40" s="69">
        <f t="shared" si="8"/>
        <v>0</v>
      </c>
      <c r="P40" s="69">
        <f t="shared" si="8"/>
        <v>346.42500000000001</v>
      </c>
      <c r="Q40" s="69">
        <f t="shared" si="8"/>
        <v>1245.2</v>
      </c>
      <c r="R40" s="69">
        <f t="shared" si="8"/>
        <v>9594.4500000000007</v>
      </c>
      <c r="S40" s="69">
        <f t="shared" si="8"/>
        <v>14569.35</v>
      </c>
      <c r="T40" s="69">
        <f t="shared" si="8"/>
        <v>0</v>
      </c>
      <c r="U40" s="69">
        <f t="shared" si="8"/>
        <v>0</v>
      </c>
      <c r="V40" s="69">
        <f t="shared" si="8"/>
        <v>0</v>
      </c>
      <c r="W40" s="69">
        <f t="shared" si="8"/>
        <v>0</v>
      </c>
      <c r="X40" s="69">
        <f t="shared" si="8"/>
        <v>2872.6694610778441</v>
      </c>
      <c r="Y40" s="69">
        <f t="shared" si="8"/>
        <v>43804.57</v>
      </c>
      <c r="Z40" s="69">
        <f t="shared" si="8"/>
        <v>24381.8</v>
      </c>
      <c r="AA40" s="69">
        <f t="shared" si="8"/>
        <v>324554.73446107784</v>
      </c>
      <c r="AB40" s="69">
        <f t="shared" si="8"/>
        <v>0</v>
      </c>
      <c r="AC40" s="69">
        <f t="shared" si="8"/>
        <v>0</v>
      </c>
      <c r="AD40" s="69">
        <f t="shared" si="8"/>
        <v>1947328.4067664668</v>
      </c>
      <c r="AE40" s="70">
        <f>AA40*6</f>
        <v>1947328.406766467</v>
      </c>
    </row>
    <row r="41" spans="1:33" s="19" customFormat="1" ht="12.75">
      <c r="AD41" s="71"/>
    </row>
    <row r="42" spans="1:33" s="19" customFormat="1" ht="12.75" hidden="1">
      <c r="AD42" s="71"/>
    </row>
    <row r="43" spans="1:33" s="19" customFormat="1" ht="12.75" hidden="1">
      <c r="AD43" s="71"/>
    </row>
    <row r="44" spans="1:33" s="19" customFormat="1" ht="15.75">
      <c r="B44" s="38" t="s">
        <v>55</v>
      </c>
      <c r="C44" s="72"/>
      <c r="D44" s="72"/>
      <c r="E44" s="72"/>
      <c r="F44" s="38"/>
      <c r="T44" s="73" t="s">
        <v>56</v>
      </c>
      <c r="U44" s="73"/>
      <c r="V44" s="73"/>
      <c r="W44" s="74"/>
      <c r="X44" s="74"/>
      <c r="Y44" s="75"/>
      <c r="Z44" s="75"/>
      <c r="AA44" s="76"/>
      <c r="AB44" s="77"/>
      <c r="AC44" s="77"/>
      <c r="AD44" s="77"/>
      <c r="AE44" s="78"/>
      <c r="AF44" s="78"/>
      <c r="AG44" s="38"/>
    </row>
    <row r="45" spans="1:33" s="19" customFormat="1" ht="15.75">
      <c r="B45" s="38"/>
      <c r="C45" s="39"/>
      <c r="D45" s="79"/>
      <c r="E45" s="79"/>
      <c r="F45" s="79"/>
      <c r="G45" s="79"/>
      <c r="H45" s="38"/>
    </row>
    <row r="46" spans="1:33" s="19" customFormat="1" ht="12.75"/>
    <row r="47" spans="1:33" s="19" customFormat="1" ht="12.75"/>
  </sheetData>
  <mergeCells count="36">
    <mergeCell ref="Z3:AD3"/>
    <mergeCell ref="Z4:AD4"/>
    <mergeCell ref="G9:W9"/>
    <mergeCell ref="N14:N19"/>
    <mergeCell ref="O14:O19"/>
    <mergeCell ref="P14:P19"/>
    <mergeCell ref="Q14:Q19"/>
    <mergeCell ref="AA11:AA19"/>
    <mergeCell ref="X14:X19"/>
    <mergeCell ref="R14:R19"/>
    <mergeCell ref="S14:S19"/>
    <mergeCell ref="T14:T19"/>
    <mergeCell ref="U14:U19"/>
    <mergeCell ref="V14:V19"/>
    <mergeCell ref="W14:W19"/>
    <mergeCell ref="A11:A19"/>
    <mergeCell ref="B11:B19"/>
    <mergeCell ref="C11:C19"/>
    <mergeCell ref="D11:D19"/>
    <mergeCell ref="E11:E19"/>
    <mergeCell ref="F11:F19"/>
    <mergeCell ref="AB11:AB19"/>
    <mergeCell ref="AC11:AC19"/>
    <mergeCell ref="AD11:AD19"/>
    <mergeCell ref="G14:G19"/>
    <mergeCell ref="H14:H19"/>
    <mergeCell ref="I14:I19"/>
    <mergeCell ref="J14:J19"/>
    <mergeCell ref="K14:K19"/>
    <mergeCell ref="L14:L19"/>
    <mergeCell ref="M14:M19"/>
    <mergeCell ref="G11:I13"/>
    <mergeCell ref="J11:O13"/>
    <mergeCell ref="P11:X13"/>
    <mergeCell ref="Y11:Y19"/>
    <mergeCell ref="Z11:Z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01.01.21р.</vt:lpstr>
      <vt:lpstr>'на 01.01.21р.'!Область_печати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2020-11-25T12:13:12Z</cp:lastPrinted>
  <dcterms:created xsi:type="dcterms:W3CDTF">2020-10-30T08:06:45Z</dcterms:created>
  <dcterms:modified xsi:type="dcterms:W3CDTF">2020-12-03T14:33:18Z</dcterms:modified>
</cp:coreProperties>
</file>